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<sst xmlns="http://schemas.openxmlformats.org/spreadsheetml/2006/main" count="162" uniqueCount="112">
  <si>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</si>
  <si>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</si>
  <si>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</si>
  <si>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</si>
  <si>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</si>
  <si>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</si>
  <si>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</si>
  <si>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</si>
  <si>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</si>
  <si>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</si>
  <si>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</si>
  <si>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</si>
  <si>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</si>
  <si>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</si>
  <si>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</si>
  <si>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</si>
  <si>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</si>
  <si>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</si>
  <si>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</si>
  <si>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</si>
  <si>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</si>
  <si>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</si>
  <si>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</si>
  <si>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</si>
  <si>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</si>
  <si>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</si>
  <si>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</si>
  <si>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</si>
  <si>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</si>
  <si>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</si>
  <si>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</si>
  <si>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</si>
  <si>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</si>
  <si>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</si>
  <si>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</si>
  <si>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</si>
  <si>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</si>
  <si>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</si>
  <si>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</si>
  <si>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</si>
  <si>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</si>
  <si>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</si>
  <si>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</si>
  <si>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</si>
  <si>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</si>
  <si>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</si>
  <si>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</si>
  <si>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</si>
  <si>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</si>
  <si>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</si>
  <si>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</si>
  <si>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</si>
  <si>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</si>
  <si>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</si>
  <si>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</si>
  <si>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</si>
  <si>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</si>
  <si>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</si>
  <si>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</si>
  <si>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</si>
  <si>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</si>
  <si>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</si>
  <si>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</si>
  <si>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</si>
  <si>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</si>
  <si>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</si>
  <si>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</si>
  <si>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</si>
  <si>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</si>
  <si>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</si>
  <si>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</si>
  <si>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</si>
  <si>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</si>
  <si>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</si>
  <si>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</si>
  <si>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</si>
  <si>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</si>
  <si>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</si>
  <si>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</si>
  <si>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</si>
  <si>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</si>
  <si>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</si>
  <si>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</si>
  <si>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</si>
  <si>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</si>
  <si>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</si>
  <si>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</si>
  <si>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</si>
  <si>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</si>
  <si>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</si>
  <si>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</si>
  <si>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</si>
  <si>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</si>
  <si>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</si>
  <si>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</si>
  <si>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</si>
  <si>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</si>
  <si>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</si>
  <si>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</si>
  <si>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</si>
  <si>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</si>
  <si>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</si>
  <si>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</si>
  <si>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</si>
  <si>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</si>
  <si>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</si>
  <si>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</si>
  <si>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План на 1 квартал, тис.грн.</t>
  </si>
  <si>
    <t>Відсоток виконання плану 1-го кварталу</t>
  </si>
  <si>
    <t>Відхилення від плану 1-го кварталу, тис.грн.</t>
  </si>
  <si>
    <t>Субвенція державному бюджету на виконання програм соціально-економічного та культурного розвитку регіонів</t>
  </si>
  <si>
    <t>Аналіз використання коштів загального фонду міського бюджету за 2017 рік станом на 31.03.2017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</si>
</sst>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i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9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6253.000000000001</c:v>
                </c:pt>
                <c:pt idx="1">
                  <c:v>5975.900000000001</c:v>
                </c:pt>
                <c:pt idx="2">
                  <c:v>53.6</c:v>
                </c:pt>
                <c:pt idx="3">
                  <c:v>223.50000000000037</c:v>
                </c:pt>
              </c:numCache>
            </c:numRef>
          </c:val>
          <c:shape val="box"/>
        </c:ser>
        <c:shape val="box"/>
        <c:axId val="35806257"/>
        <c:axId val="53820858"/>
      </c:bar3DChart>
      <c:catAx>
        <c:axId val="3580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820858"/>
        <c:crosses val="autoZero"/>
        <c:auto val="1"/>
        <c:lblOffset val="100"/>
        <c:tickLblSkip val="1"/>
        <c:noMultiLvlLbl val="0"/>
      </c:catAx>
      <c:valAx>
        <c:axId val="538208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062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625404.8999999999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15086.199999999919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39925.100000000006</c:v>
                </c:pt>
                <c:pt idx="1">
                  <c:v>17971.3</c:v>
                </c:pt>
                <c:pt idx="2">
                  <c:v>36966.7</c:v>
                </c:pt>
                <c:pt idx="4">
                  <c:v>1199.7</c:v>
                </c:pt>
                <c:pt idx="5">
                  <c:v>676.7</c:v>
                </c:pt>
                <c:pt idx="6">
                  <c:v>1048.6000000000001</c:v>
                </c:pt>
                <c:pt idx="7">
                  <c:v>33.400000000008504</c:v>
                </c:pt>
              </c:numCache>
            </c:numRef>
          </c:val>
          <c:shape val="box"/>
        </c:ser>
        <c:shape val="box"/>
        <c:axId val="14625675"/>
        <c:axId val="64522212"/>
      </c:bar3DChart>
      <c:catAx>
        <c:axId val="14625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522212"/>
        <c:crosses val="autoZero"/>
        <c:auto val="1"/>
        <c:lblOffset val="100"/>
        <c:tickLblSkip val="1"/>
        <c:noMultiLvlLbl val="0"/>
      </c:catAx>
      <c:valAx>
        <c:axId val="64522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256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329127.1</c:v>
                </c:pt>
                <c:pt idx="1">
                  <c:v>238249.5</c:v>
                </c:pt>
                <c:pt idx="2">
                  <c:v>329127.1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24710.4</c:v>
                </c:pt>
                <c:pt idx="1">
                  <c:v>16758.499999999996</c:v>
                </c:pt>
                <c:pt idx="2">
                  <c:v>24710.4</c:v>
                </c:pt>
              </c:numCache>
            </c:numRef>
          </c:val>
          <c:shape val="box"/>
        </c:ser>
        <c:shape val="box"/>
        <c:axId val="43828997"/>
        <c:axId val="58916654"/>
      </c:bar3DChart>
      <c:catAx>
        <c:axId val="43828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16654"/>
        <c:crosses val="autoZero"/>
        <c:auto val="1"/>
        <c:lblOffset val="100"/>
        <c:tickLblSkip val="1"/>
        <c:noMultiLvlLbl val="0"/>
      </c:catAx>
      <c:valAx>
        <c:axId val="58916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289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3919.3</c:v>
                </c:pt>
                <c:pt idx="1">
                  <c:v>3576.9</c:v>
                </c:pt>
                <c:pt idx="2">
                  <c:v>6.6000000000000005</c:v>
                </c:pt>
                <c:pt idx="4">
                  <c:v>5.1</c:v>
                </c:pt>
                <c:pt idx="5">
                  <c:v>330.70000000000005</c:v>
                </c:pt>
              </c:numCache>
            </c:numRef>
          </c:val>
          <c:shape val="box"/>
        </c:ser>
        <c:shape val="box"/>
        <c:axId val="60487839"/>
        <c:axId val="7519640"/>
      </c:bar3DChart>
      <c:catAx>
        <c:axId val="60487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19640"/>
        <c:crosses val="autoZero"/>
        <c:auto val="1"/>
        <c:lblOffset val="100"/>
        <c:tickLblSkip val="1"/>
        <c:noMultiLvlLbl val="0"/>
      </c:catAx>
      <c:valAx>
        <c:axId val="7519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878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23558.7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4978.300000000002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1458.1000000000001</c:v>
                </c:pt>
                <c:pt idx="1">
                  <c:v>1131.1999999999998</c:v>
                </c:pt>
                <c:pt idx="3">
                  <c:v>1.9</c:v>
                </c:pt>
                <c:pt idx="4">
                  <c:v>0.5</c:v>
                </c:pt>
                <c:pt idx="6">
                  <c:v>324.50000000000034</c:v>
                </c:pt>
              </c:numCache>
            </c:numRef>
          </c:val>
          <c:shape val="box"/>
        </c:ser>
        <c:shape val="box"/>
        <c:axId val="567897"/>
        <c:axId val="5111074"/>
      </c:bar3DChart>
      <c:catAx>
        <c:axId val="567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1074"/>
        <c:crosses val="autoZero"/>
        <c:auto val="1"/>
        <c:lblOffset val="100"/>
        <c:tickLblSkip val="2"/>
        <c:noMultiLvlLbl val="0"/>
      </c:catAx>
      <c:valAx>
        <c:axId val="51110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8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7844.6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448.30000000000007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201.9</c:v>
                </c:pt>
                <c:pt idx="1">
                  <c:v>201.7</c:v>
                </c:pt>
                <c:pt idx="5">
                  <c:v>0.20000000000001705</c:v>
                </c:pt>
              </c:numCache>
            </c:numRef>
          </c:val>
          <c:shape val="box"/>
        </c:ser>
        <c:shape val="box"/>
        <c:axId val="45999667"/>
        <c:axId val="11343820"/>
      </c:bar3DChart>
      <c:catAx>
        <c:axId val="45999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43820"/>
        <c:crosses val="autoZero"/>
        <c:auto val="1"/>
        <c:lblOffset val="100"/>
        <c:tickLblSkip val="1"/>
        <c:noMultiLvlLbl val="0"/>
      </c:catAx>
      <c:valAx>
        <c:axId val="11343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996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4915.2</c:v>
                </c:pt>
              </c:numCache>
            </c:numRef>
          </c:val>
          <c:shape val="box"/>
        </c:ser>
        <c:shape val="box"/>
        <c:axId val="34985517"/>
        <c:axId val="46434198"/>
      </c:bar3DChart>
      <c:catAx>
        <c:axId val="34985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434198"/>
        <c:crosses val="autoZero"/>
        <c:auto val="1"/>
        <c:lblOffset val="100"/>
        <c:tickLblSkip val="1"/>
        <c:noMultiLvlLbl val="0"/>
      </c:catAx>
      <c:valAx>
        <c:axId val="46434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855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625404.8999999999</c:v>
                </c:pt>
                <c:pt idx="1">
                  <c:v>329127.1</c:v>
                </c:pt>
                <c:pt idx="2">
                  <c:v>67303.3</c:v>
                </c:pt>
                <c:pt idx="3">
                  <c:v>23558.7</c:v>
                </c:pt>
                <c:pt idx="4">
                  <c:v>7844.6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39925.100000000006</c:v>
                </c:pt>
                <c:pt idx="1">
                  <c:v>24710.4</c:v>
                </c:pt>
                <c:pt idx="2">
                  <c:v>3919.3</c:v>
                </c:pt>
                <c:pt idx="3">
                  <c:v>1458.1000000000001</c:v>
                </c:pt>
                <c:pt idx="4">
                  <c:v>201.9</c:v>
                </c:pt>
                <c:pt idx="5">
                  <c:v>6253.000000000001</c:v>
                </c:pt>
                <c:pt idx="6">
                  <c:v>4915.2</c:v>
                </c:pt>
              </c:numCache>
            </c:numRef>
          </c:val>
          <c:shape val="box"/>
        </c:ser>
        <c:shape val="box"/>
        <c:axId val="15254599"/>
        <c:axId val="3073664"/>
      </c:bar3DChart>
      <c:catAx>
        <c:axId val="15254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3664"/>
        <c:crosses val="autoZero"/>
        <c:auto val="1"/>
        <c:lblOffset val="100"/>
        <c:tickLblSkip val="1"/>
        <c:noMultiLvlLbl val="0"/>
      </c:catAx>
      <c:valAx>
        <c:axId val="3073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545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102469.50000000003</c:v>
                </c:pt>
                <c:pt idx="2">
                  <c:v>28682.2</c:v>
                </c:pt>
                <c:pt idx="3">
                  <c:v>29184.599999999995</c:v>
                </c:pt>
                <c:pt idx="4">
                  <c:v>186.9</c:v>
                </c:pt>
                <c:pt idx="5">
                  <c:v>955547.2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48682.2</c:v>
                </c:pt>
                <c:pt idx="1">
                  <c:v>1926.5</c:v>
                </c:pt>
                <c:pt idx="2">
                  <c:v>1201.6000000000001</c:v>
                </c:pt>
                <c:pt idx="3">
                  <c:v>1424.6000000000001</c:v>
                </c:pt>
                <c:pt idx="4">
                  <c:v>0</c:v>
                </c:pt>
                <c:pt idx="5">
                  <c:v>53889.5</c:v>
                </c:pt>
              </c:numCache>
            </c:numRef>
          </c:val>
          <c:shape val="box"/>
        </c:ser>
        <c:shape val="box"/>
        <c:axId val="27662977"/>
        <c:axId val="47640202"/>
      </c:bar3DChart>
      <c:catAx>
        <c:axId val="27662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40202"/>
        <c:crosses val="autoZero"/>
        <c:auto val="1"/>
        <c:lblOffset val="100"/>
        <c:tickLblSkip val="1"/>
        <c:noMultiLvlLbl val="0"/>
      </c:catAx>
      <c:valAx>
        <c:axId val="476402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629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5"/>
  <sheetViews>
    <sheetView tabSelected="1" zoomScale="80" zoomScaleNormal="80" zoomScalePageLayoutView="0" workbookViewId="0" topLeftCell="A1">
      <pane xSplit="1" ySplit="5" topLeftCell="B1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38" sqref="A138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60" customHeight="1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107</v>
      </c>
      <c r="C3" s="130" t="s">
        <v>91</v>
      </c>
      <c r="D3" s="130" t="s">
        <v>23</v>
      </c>
      <c r="E3" s="136" t="s">
        <v>22</v>
      </c>
      <c r="F3" s="130" t="s">
        <v>108</v>
      </c>
      <c r="G3" s="130" t="s">
        <v>93</v>
      </c>
      <c r="H3" s="130" t="s">
        <v>109</v>
      </c>
      <c r="I3" s="130" t="s">
        <v>92</v>
      </c>
    </row>
    <row r="4" spans="1:9" ht="24.75" customHeight="1">
      <c r="A4" s="134"/>
      <c r="B4" s="131"/>
      <c r="C4" s="131"/>
      <c r="D4" s="131"/>
      <c r="E4" s="137"/>
      <c r="F4" s="131"/>
      <c r="G4" s="131"/>
      <c r="H4" s="131"/>
      <c r="I4" s="131"/>
    </row>
    <row r="5" spans="1:9" ht="18" customHeight="1" thickBot="1">
      <c r="A5" s="135"/>
      <c r="B5" s="132"/>
      <c r="C5" s="132"/>
      <c r="D5" s="132"/>
      <c r="E5" s="138"/>
      <c r="F5" s="132"/>
      <c r="G5" s="132"/>
      <c r="H5" s="132"/>
      <c r="I5" s="132"/>
    </row>
    <row r="6" spans="1:9" ht="18.75" thickBot="1">
      <c r="A6" s="22" t="s">
        <v>27</v>
      </c>
      <c r="B6" s="45">
        <f>172086.4-207.4</f>
        <v>171879</v>
      </c>
      <c r="C6" s="46">
        <f>625865.1-190.4-316.9+47.1+50+198</f>
        <v>625652.8999999999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</f>
        <v>153670.30000000002</v>
      </c>
      <c r="E6" s="3">
        <f>D6/D150*100</f>
        <v>39.94571843145451</v>
      </c>
      <c r="F6" s="3">
        <f>D6/B6*100</f>
        <v>89.40609382181653</v>
      </c>
      <c r="G6" s="3">
        <f aca="true" t="shared" si="0" ref="G6:G43">D6/C6*100</f>
        <v>24.56158998064263</v>
      </c>
      <c r="H6" s="47">
        <f>B6-D6</f>
        <v>18208.699999999983</v>
      </c>
      <c r="I6" s="47">
        <f aca="true" t="shared" si="1" ref="I6:I43">C6-D6</f>
        <v>471982.59999999986</v>
      </c>
    </row>
    <row r="7" spans="1:9" s="37" customFormat="1" ht="18.75">
      <c r="A7" s="104" t="s">
        <v>83</v>
      </c>
      <c r="B7" s="97">
        <v>56191.6</v>
      </c>
      <c r="C7" s="94">
        <f>243287.4+47.1</f>
        <v>243334.5</v>
      </c>
      <c r="D7" s="105">
        <f>6699.4+11261.7+10.2+8073.8+9792.3+0.1+0.8+7352+6.6+10108.4</f>
        <v>53305.299999999996</v>
      </c>
      <c r="E7" s="95">
        <f>D7/D6*100</f>
        <v>34.6880952272495</v>
      </c>
      <c r="F7" s="95">
        <f>D7/B7*100</f>
        <v>94.86346713743691</v>
      </c>
      <c r="G7" s="95">
        <f>D7/C7*100</f>
        <v>21.90618264159007</v>
      </c>
      <c r="H7" s="105">
        <f>B7-D7</f>
        <v>2886.300000000003</v>
      </c>
      <c r="I7" s="105">
        <f t="shared" si="1"/>
        <v>190029.2</v>
      </c>
    </row>
    <row r="8" spans="1:9" ht="18">
      <c r="A8" s="23" t="s">
        <v>3</v>
      </c>
      <c r="B8" s="42">
        <f>115100.9+461.1-207.4</f>
        <v>115354.6</v>
      </c>
      <c r="C8" s="43">
        <f>487771.7+47.1</f>
        <v>487818.8</v>
      </c>
      <c r="D8" s="44">
        <f>12945+14658+9353.4+10.2+0.1+7+16015+13071.9+6973.3+1906+3.4+7.6+13882.5+6.6+747.5+21101.8</f>
        <v>110689.3</v>
      </c>
      <c r="E8" s="1">
        <f>D8/D6*100</f>
        <v>72.03037932508754</v>
      </c>
      <c r="F8" s="1">
        <f>D8/B8*100</f>
        <v>95.95568793962269</v>
      </c>
      <c r="G8" s="1">
        <f t="shared" si="0"/>
        <v>22.69065890859475</v>
      </c>
      <c r="H8" s="44">
        <f>B8-D8</f>
        <v>4665.300000000003</v>
      </c>
      <c r="I8" s="44">
        <f t="shared" si="1"/>
        <v>377129.5</v>
      </c>
    </row>
    <row r="9" spans="1:9" ht="18">
      <c r="A9" s="23" t="s">
        <v>2</v>
      </c>
      <c r="B9" s="42">
        <v>23.9</v>
      </c>
      <c r="C9" s="43">
        <v>92.5</v>
      </c>
      <c r="D9" s="44">
        <f>2.5+4.3+3.3+7</f>
        <v>17.1</v>
      </c>
      <c r="E9" s="12">
        <f>D9/D6*100</f>
        <v>0.011127719539819992</v>
      </c>
      <c r="F9" s="120">
        <f>D9/B9*100</f>
        <v>71.54811715481173</v>
      </c>
      <c r="G9" s="1">
        <f t="shared" si="0"/>
        <v>18.486486486486488</v>
      </c>
      <c r="H9" s="44">
        <f aca="true" t="shared" si="2" ref="H9:H43">B9-D9</f>
        <v>6.799999999999997</v>
      </c>
      <c r="I9" s="44">
        <f t="shared" si="1"/>
        <v>75.4</v>
      </c>
    </row>
    <row r="10" spans="1:9" ht="18">
      <c r="A10" s="23" t="s">
        <v>1</v>
      </c>
      <c r="B10" s="42">
        <v>8443.8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</f>
        <v>7381.3</v>
      </c>
      <c r="E10" s="1">
        <f>D10/D6*100</f>
        <v>4.8033354525890815</v>
      </c>
      <c r="F10" s="1">
        <f aca="true" t="shared" si="3" ref="F10:F41">D10/B10*100</f>
        <v>87.41680286127101</v>
      </c>
      <c r="G10" s="1">
        <f t="shared" si="0"/>
        <v>26.87872111865703</v>
      </c>
      <c r="H10" s="44">
        <f t="shared" si="2"/>
        <v>1062.499999999999</v>
      </c>
      <c r="I10" s="44">
        <f t="shared" si="1"/>
        <v>20080.2</v>
      </c>
    </row>
    <row r="11" spans="1:9" ht="18">
      <c r="A11" s="23" t="s">
        <v>0</v>
      </c>
      <c r="B11" s="42">
        <f>42044.8-506.5</f>
        <v>41538.3</v>
      </c>
      <c r="C11" s="43">
        <v>80900.5</v>
      </c>
      <c r="D11" s="49">
        <f>143.9+390+0.1+142.7+13.1+169.2+704.4+3378.9+1906.3+468.5+6301.9+20.7+31.8+0.1+3059.4+2301.7+3149.2+438.7+2370.2+711.7+2057.8+893.1+2232.6</f>
        <v>30886</v>
      </c>
      <c r="E11" s="1">
        <f>D11/D6*100</f>
        <v>20.098874017946212</v>
      </c>
      <c r="F11" s="1">
        <f t="shared" si="3"/>
        <v>74.35547434536319</v>
      </c>
      <c r="G11" s="1">
        <f t="shared" si="0"/>
        <v>38.17776157131291</v>
      </c>
      <c r="H11" s="44">
        <f t="shared" si="2"/>
        <v>10652.300000000003</v>
      </c>
      <c r="I11" s="44">
        <f t="shared" si="1"/>
        <v>50014.5</v>
      </c>
    </row>
    <row r="12" spans="1:9" ht="18">
      <c r="A12" s="23" t="s">
        <v>14</v>
      </c>
      <c r="B12" s="42">
        <v>3645.4</v>
      </c>
      <c r="C12" s="43">
        <v>14045.4</v>
      </c>
      <c r="D12" s="44">
        <f>276.3+3.4+1.2+766.5+1.2+207.2+488.1+284.1+207.8+0.1+1.2+2.8+9+434.7+164.8+490.2+0.8</f>
        <v>3339.4</v>
      </c>
      <c r="E12" s="1">
        <f>D12/D6*100</f>
        <v>2.173093955045314</v>
      </c>
      <c r="F12" s="1">
        <f t="shared" si="3"/>
        <v>91.60585943929335</v>
      </c>
      <c r="G12" s="1">
        <f t="shared" si="0"/>
        <v>23.775755763452803</v>
      </c>
      <c r="H12" s="44">
        <f t="shared" si="2"/>
        <v>306</v>
      </c>
      <c r="I12" s="44">
        <f t="shared" si="1"/>
        <v>10706</v>
      </c>
    </row>
    <row r="13" spans="1:9" ht="18.75" thickBot="1">
      <c r="A13" s="23" t="s">
        <v>28</v>
      </c>
      <c r="B13" s="43">
        <f>B6-B8-B9-B10-B11-B12</f>
        <v>2872.999999999994</v>
      </c>
      <c r="C13" s="43">
        <f>C6-C8-C9-C10-C11-C12</f>
        <v>15334.199999999919</v>
      </c>
      <c r="D13" s="43">
        <f>D6-D8-D9-D10-D11-D12</f>
        <v>1357.200000000013</v>
      </c>
      <c r="E13" s="1">
        <f>D13/D6*100</f>
        <v>0.8831895297920371</v>
      </c>
      <c r="F13" s="1">
        <f t="shared" si="3"/>
        <v>47.23981900452544</v>
      </c>
      <c r="G13" s="1">
        <f t="shared" si="0"/>
        <v>8.850804084986633</v>
      </c>
      <c r="H13" s="44">
        <f t="shared" si="2"/>
        <v>1515.799999999981</v>
      </c>
      <c r="I13" s="44">
        <f t="shared" si="1"/>
        <v>13976.999999999905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99257.2+2377.2</f>
        <v>101634.4</v>
      </c>
      <c r="C18" s="46">
        <f>329127.1+600+14307.6+200</f>
        <v>344234.69999999995</v>
      </c>
      <c r="D18" s="47">
        <f>7750.2+16091.8+509.8+21.4+337.2+206.3+9326.4+708.9+873+242.1+3327.1+2.3+17653.4+33.8-2.1+533.8+30.7+490.1+11915.5+3423.1+24.3+167.7+3429.8+14147.8+57.6+1.8+36.5</f>
        <v>91340.30000000003</v>
      </c>
      <c r="E18" s="3">
        <f>D18/D150*100</f>
        <v>23.743390266333737</v>
      </c>
      <c r="F18" s="3">
        <f>D18/B18*100</f>
        <v>89.87144116558964</v>
      </c>
      <c r="G18" s="3">
        <f t="shared" si="0"/>
        <v>26.5343092953732</v>
      </c>
      <c r="H18" s="47">
        <f>B18-D18</f>
        <v>10294.099999999962</v>
      </c>
      <c r="I18" s="47">
        <f t="shared" si="1"/>
        <v>252894.3999999999</v>
      </c>
    </row>
    <row r="19" spans="1:13" s="37" customFormat="1" ht="18.75">
      <c r="A19" s="104" t="s">
        <v>84</v>
      </c>
      <c r="B19" s="97">
        <f>59541.9+1256</f>
        <v>60797.9</v>
      </c>
      <c r="C19" s="94">
        <f>238249.5+1256</f>
        <v>239505.5</v>
      </c>
      <c r="D19" s="105">
        <f>7750.2+9045.4-324.4+287.3+8839.2+63.1+167.7+672.4+2.3+8064+287.9+29.4+0.1+353.7+16.6+490.1+8886.5+888+91.8+1141.4+7667.3+57.6+1.8+36.5</f>
        <v>54515.9</v>
      </c>
      <c r="E19" s="95">
        <f>D19/D18*100</f>
        <v>59.68438903747851</v>
      </c>
      <c r="F19" s="95">
        <f t="shared" si="3"/>
        <v>89.6674062755457</v>
      </c>
      <c r="G19" s="95">
        <f t="shared" si="0"/>
        <v>22.761857243361845</v>
      </c>
      <c r="H19" s="105">
        <f t="shared" si="2"/>
        <v>6282</v>
      </c>
      <c r="I19" s="105">
        <f t="shared" si="1"/>
        <v>184989.6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101634.4</v>
      </c>
      <c r="C25" s="43">
        <f>C18</f>
        <v>344234.69999999995</v>
      </c>
      <c r="D25" s="43">
        <f>D18</f>
        <v>91340.30000000003</v>
      </c>
      <c r="E25" s="1">
        <f>D25/D18*100</f>
        <v>100</v>
      </c>
      <c r="F25" s="1">
        <f t="shared" si="3"/>
        <v>89.87144116558964</v>
      </c>
      <c r="G25" s="1">
        <f t="shared" si="0"/>
        <v>26.5343092953732</v>
      </c>
      <c r="H25" s="44">
        <f t="shared" si="2"/>
        <v>10294.099999999962</v>
      </c>
      <c r="I25" s="44">
        <f t="shared" si="1"/>
        <v>252894.3999999999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f>14983.5+207.4</f>
        <v>15190.9</v>
      </c>
      <c r="C33" s="46">
        <v>67303.3</v>
      </c>
      <c r="D33" s="50">
        <f>1839.2+34.8+165.7+1873.2+1.3+5.1+223.7+77.9+1834.7+29.7+171.2+8.4+128.8+239.3+79.6+50.8+1967+148.5+65.1+168.2+2+195+1854.2+111.8+11.9+51+73.3+98+192+131.2+1842+37.2+0.2</f>
        <v>13712.000000000002</v>
      </c>
      <c r="E33" s="3">
        <f>D33/D150*100</f>
        <v>3.56435622974709</v>
      </c>
      <c r="F33" s="3">
        <f>D33/B33*100</f>
        <v>90.26456628639515</v>
      </c>
      <c r="G33" s="3">
        <f t="shared" si="0"/>
        <v>20.373443798446736</v>
      </c>
      <c r="H33" s="47">
        <f t="shared" si="2"/>
        <v>1478.8999999999978</v>
      </c>
      <c r="I33" s="47">
        <f t="shared" si="1"/>
        <v>53591.3</v>
      </c>
    </row>
    <row r="34" spans="1:9" ht="18">
      <c r="A34" s="23" t="s">
        <v>3</v>
      </c>
      <c r="B34" s="42">
        <f>11159.5+207.4+1.5+47.6</f>
        <v>11416</v>
      </c>
      <c r="C34" s="43">
        <v>55535.9</v>
      </c>
      <c r="D34" s="44">
        <f>1743.2+1833.7+1830.2+1935.3+81+1854.2+129.9+1804.7+34.4</f>
        <v>11246.6</v>
      </c>
      <c r="E34" s="1">
        <f>D34/D33*100</f>
        <v>82.02012835472577</v>
      </c>
      <c r="F34" s="1">
        <f t="shared" si="3"/>
        <v>98.51611772950245</v>
      </c>
      <c r="G34" s="1">
        <f t="shared" si="0"/>
        <v>20.251044819657192</v>
      </c>
      <c r="H34" s="44">
        <f t="shared" si="2"/>
        <v>169.39999999999964</v>
      </c>
      <c r="I34" s="44">
        <f t="shared" si="1"/>
        <v>44289.3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f>1348.3+1.5-1.5-47.6</f>
        <v>1300.7</v>
      </c>
      <c r="C36" s="43">
        <v>2945.3</v>
      </c>
      <c r="D36" s="44">
        <f>5.4+1.2+41.8+16.1+2.9+29.7+160.9+0.8+93.4+46.9+11.2+0.1+33.7+184.7+9.2+183.2+0.9+11.9+0.1</f>
        <v>834.1</v>
      </c>
      <c r="E36" s="1">
        <f>D36/D33*100</f>
        <v>6.082992998833138</v>
      </c>
      <c r="F36" s="1">
        <f t="shared" si="3"/>
        <v>64.12700853386639</v>
      </c>
      <c r="G36" s="1">
        <f t="shared" si="0"/>
        <v>28.319695786507314</v>
      </c>
      <c r="H36" s="44">
        <f t="shared" si="2"/>
        <v>466.6</v>
      </c>
      <c r="I36" s="44">
        <f t="shared" si="1"/>
        <v>2111.2000000000003</v>
      </c>
    </row>
    <row r="37" spans="1:9" s="37" customFormat="1" ht="18.75">
      <c r="A37" s="18" t="s">
        <v>7</v>
      </c>
      <c r="B37" s="51">
        <v>134.5</v>
      </c>
      <c r="C37" s="52">
        <v>856.1</v>
      </c>
      <c r="D37" s="53">
        <f>7.4+12.3+6.1</f>
        <v>25.800000000000004</v>
      </c>
      <c r="E37" s="17">
        <f>D37/D33*100</f>
        <v>0.18815635939323222</v>
      </c>
      <c r="F37" s="17">
        <f t="shared" si="3"/>
        <v>19.182156133828997</v>
      </c>
      <c r="G37" s="17">
        <f t="shared" si="0"/>
        <v>3.0136666277304056</v>
      </c>
      <c r="H37" s="53">
        <f t="shared" si="2"/>
        <v>108.69999999999999</v>
      </c>
      <c r="I37" s="53">
        <f t="shared" si="1"/>
        <v>830.3000000000001</v>
      </c>
    </row>
    <row r="38" spans="1:9" ht="18">
      <c r="A38" s="23" t="s">
        <v>14</v>
      </c>
      <c r="B38" s="42">
        <v>15.3</v>
      </c>
      <c r="C38" s="43">
        <v>80.8</v>
      </c>
      <c r="D38" s="43">
        <f>5.1+5.1+5.1</f>
        <v>15.299999999999999</v>
      </c>
      <c r="E38" s="1">
        <f>D38/D33*100</f>
        <v>0.11158109684947488</v>
      </c>
      <c r="F38" s="1">
        <f t="shared" si="3"/>
        <v>99.99999999999999</v>
      </c>
      <c r="G38" s="1">
        <f t="shared" si="0"/>
        <v>18.935643564356436</v>
      </c>
      <c r="H38" s="44">
        <f t="shared" si="2"/>
        <v>0</v>
      </c>
      <c r="I38" s="44">
        <f t="shared" si="1"/>
        <v>65.5</v>
      </c>
    </row>
    <row r="39" spans="1:9" ht="18.75" thickBot="1">
      <c r="A39" s="23" t="s">
        <v>28</v>
      </c>
      <c r="B39" s="42">
        <f>B33-B34-B36-B37-B35-B38</f>
        <v>2324.3999999999996</v>
      </c>
      <c r="C39" s="42">
        <f>C33-C34-C36-C37-C35-C38</f>
        <v>7885.200000000002</v>
      </c>
      <c r="D39" s="42">
        <f>D33-D34-D36-D37-D35-D38</f>
        <v>1590.2000000000016</v>
      </c>
      <c r="E39" s="1">
        <f>D39/D33*100</f>
        <v>11.597141190198377</v>
      </c>
      <c r="F39" s="1">
        <f t="shared" si="3"/>
        <v>68.41335398382387</v>
      </c>
      <c r="G39" s="1">
        <f t="shared" si="0"/>
        <v>20.1668949424238</v>
      </c>
      <c r="H39" s="44">
        <f>B39-D39</f>
        <v>734.199999999998</v>
      </c>
      <c r="I39" s="44">
        <f t="shared" si="1"/>
        <v>6295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546.1+6.6+16.4</f>
        <v>569.1</v>
      </c>
      <c r="C43" s="46">
        <f>1548.6+6.6+21.9</f>
        <v>1577.1</v>
      </c>
      <c r="D43" s="47">
        <f>29.1+22+50.2+8.1+0.6+111.5+89.2+3+14.7+7.1+8.4+11.5+17.6+100.3+27.2+6.2</f>
        <v>506.7</v>
      </c>
      <c r="E43" s="3">
        <f>D43/D150*100</f>
        <v>0.131713776371999</v>
      </c>
      <c r="F43" s="3">
        <f>D43/B43*100</f>
        <v>89.03531892461781</v>
      </c>
      <c r="G43" s="3">
        <f t="shared" si="0"/>
        <v>32.128590450827474</v>
      </c>
      <c r="H43" s="47">
        <f t="shared" si="2"/>
        <v>62.400000000000034</v>
      </c>
      <c r="I43" s="47">
        <f t="shared" si="1"/>
        <v>1070.3999999999999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3036.1</v>
      </c>
      <c r="C45" s="46">
        <v>11788</v>
      </c>
      <c r="D45" s="47">
        <f>102.9+155.5+3.1+3.7+452.3+6+17.2+314.1+59.3+95.2+2.2+579+1.9+71.6+375.2+7+7.3+568.3</f>
        <v>2821.8</v>
      </c>
      <c r="E45" s="3">
        <f>D45/D150*100</f>
        <v>0.7335108233007831</v>
      </c>
      <c r="F45" s="3">
        <f>D45/B45*100</f>
        <v>92.94160271400811</v>
      </c>
      <c r="G45" s="3">
        <f aca="true" t="shared" si="4" ref="G45:G76">D45/C45*100</f>
        <v>23.937902952154737</v>
      </c>
      <c r="H45" s="47">
        <f>B45-D45</f>
        <v>214.29999999999973</v>
      </c>
      <c r="I45" s="47">
        <f aca="true" t="shared" si="5" ref="I45:I77">C45-D45</f>
        <v>8966.2</v>
      </c>
    </row>
    <row r="46" spans="1:9" ht="18">
      <c r="A46" s="23" t="s">
        <v>3</v>
      </c>
      <c r="B46" s="42">
        <v>2511.9</v>
      </c>
      <c r="C46" s="43">
        <v>10529.7</v>
      </c>
      <c r="D46" s="44">
        <f>102.7+154.9+447.3+314.1+572.1+284.8+559</f>
        <v>2434.9</v>
      </c>
      <c r="E46" s="1">
        <f>D46/D45*100</f>
        <v>86.28889361400525</v>
      </c>
      <c r="F46" s="1">
        <f aca="true" t="shared" si="6" ref="F46:F74">D46/B46*100</f>
        <v>96.93459134519686</v>
      </c>
      <c r="G46" s="1">
        <f t="shared" si="4"/>
        <v>23.12411559683562</v>
      </c>
      <c r="H46" s="44">
        <f aca="true" t="shared" si="7" ref="H46:H74">B46-D46</f>
        <v>77</v>
      </c>
      <c r="I46" s="44">
        <f t="shared" si="5"/>
        <v>8094.800000000001</v>
      </c>
    </row>
    <row r="47" spans="1:9" ht="18">
      <c r="A47" s="23" t="s">
        <v>2</v>
      </c>
      <c r="B47" s="42">
        <v>0.8</v>
      </c>
      <c r="C47" s="43">
        <v>1.4</v>
      </c>
      <c r="D47" s="44"/>
      <c r="E47" s="1">
        <f>D47/D45*100</f>
        <v>0</v>
      </c>
      <c r="F47" s="1">
        <f t="shared" si="6"/>
        <v>0</v>
      </c>
      <c r="G47" s="1">
        <f t="shared" si="4"/>
        <v>0</v>
      </c>
      <c r="H47" s="44">
        <f t="shared" si="7"/>
        <v>0.8</v>
      </c>
      <c r="I47" s="44">
        <f t="shared" si="5"/>
        <v>1.4</v>
      </c>
    </row>
    <row r="48" spans="1:9" ht="18">
      <c r="A48" s="23" t="s">
        <v>1</v>
      </c>
      <c r="B48" s="42">
        <v>16.4</v>
      </c>
      <c r="C48" s="43">
        <v>73.4</v>
      </c>
      <c r="D48" s="44">
        <f>5.4+5.6</f>
        <v>11</v>
      </c>
      <c r="E48" s="1">
        <f>D48/D45*100</f>
        <v>0.38982209936919693</v>
      </c>
      <c r="F48" s="1">
        <f t="shared" si="6"/>
        <v>67.07317073170732</v>
      </c>
      <c r="G48" s="1">
        <f t="shared" si="4"/>
        <v>14.986376021798364</v>
      </c>
      <c r="H48" s="44">
        <f t="shared" si="7"/>
        <v>5.399999999999999</v>
      </c>
      <c r="I48" s="44">
        <f t="shared" si="5"/>
        <v>62.400000000000006</v>
      </c>
    </row>
    <row r="49" spans="1:9" ht="18">
      <c r="A49" s="23" t="s">
        <v>0</v>
      </c>
      <c r="B49" s="42">
        <v>436.5</v>
      </c>
      <c r="C49" s="43">
        <v>865.1</v>
      </c>
      <c r="D49" s="44">
        <f>3.1+3.5+1+0.7+59.3+95.2+2.2+6-0.1+53.5+89.7+6.2+7.2</f>
        <v>327.5</v>
      </c>
      <c r="E49" s="1">
        <f>D49/D45*100</f>
        <v>11.60606704940109</v>
      </c>
      <c r="F49" s="1">
        <f t="shared" si="6"/>
        <v>75.02863688430699</v>
      </c>
      <c r="G49" s="1">
        <f t="shared" si="4"/>
        <v>37.85689515662929</v>
      </c>
      <c r="H49" s="44">
        <f t="shared" si="7"/>
        <v>109</v>
      </c>
      <c r="I49" s="44">
        <f t="shared" si="5"/>
        <v>537.6</v>
      </c>
    </row>
    <row r="50" spans="1:9" ht="18.75" thickBot="1">
      <c r="A50" s="23" t="s">
        <v>28</v>
      </c>
      <c r="B50" s="43">
        <f>B45-B46-B49-B48-B47</f>
        <v>70.49999999999982</v>
      </c>
      <c r="C50" s="43">
        <f>C45-C46-C49-C48-C47</f>
        <v>318.3999999999993</v>
      </c>
      <c r="D50" s="43">
        <f>D45-D46-D49-D48-D47</f>
        <v>48.40000000000009</v>
      </c>
      <c r="E50" s="1">
        <f>D50/D45*100</f>
        <v>1.7152172372244696</v>
      </c>
      <c r="F50" s="1">
        <f t="shared" si="6"/>
        <v>68.65248226950385</v>
      </c>
      <c r="G50" s="1">
        <f t="shared" si="4"/>
        <v>15.201005025125692</v>
      </c>
      <c r="H50" s="44">
        <f t="shared" si="7"/>
        <v>22.099999999999724</v>
      </c>
      <c r="I50" s="44">
        <f t="shared" si="5"/>
        <v>269.9999999999992</v>
      </c>
    </row>
    <row r="51" spans="1:9" ht="18.75" thickBot="1">
      <c r="A51" s="22" t="s">
        <v>4</v>
      </c>
      <c r="B51" s="45">
        <f>5920.5+50+356.2</f>
        <v>6326.7</v>
      </c>
      <c r="C51" s="46">
        <f>23558.7+50+2250</f>
        <v>25858.7</v>
      </c>
      <c r="D51" s="47">
        <f>475.9+7.8+935.8+30.7-0.1+8+35.8+34+6+454.4+67.8+74.7+41.8+81.6+68+973+34+4.9+131.2+59.3+568.8+113.2+131.2+51.5+32.5+2.5+9+29.3+48.7+24.6+895.5+47.8</f>
        <v>5479.200000000001</v>
      </c>
      <c r="E51" s="3">
        <f>D51/D150*100</f>
        <v>1.4242868038236767</v>
      </c>
      <c r="F51" s="3">
        <f>D51/B51*100</f>
        <v>86.60439091469487</v>
      </c>
      <c r="G51" s="3">
        <f t="shared" si="4"/>
        <v>21.189000220428717</v>
      </c>
      <c r="H51" s="47">
        <f>B51-D51</f>
        <v>847.4999999999991</v>
      </c>
      <c r="I51" s="47">
        <f t="shared" si="5"/>
        <v>20379.5</v>
      </c>
    </row>
    <row r="52" spans="1:9" ht="18">
      <c r="A52" s="23" t="s">
        <v>3</v>
      </c>
      <c r="B52" s="42">
        <v>3512</v>
      </c>
      <c r="C52" s="43">
        <v>16189.8</v>
      </c>
      <c r="D52" s="44">
        <f>392.4+738.8+389.6+752.9+403.1+730.4</f>
        <v>3407.2</v>
      </c>
      <c r="E52" s="1">
        <f>D52/D51*100</f>
        <v>62.18426047598188</v>
      </c>
      <c r="F52" s="1">
        <f t="shared" si="6"/>
        <v>97.01594533029613</v>
      </c>
      <c r="G52" s="1">
        <f t="shared" si="4"/>
        <v>21.045349541069065</v>
      </c>
      <c r="H52" s="44">
        <f t="shared" si="7"/>
        <v>104.80000000000018</v>
      </c>
      <c r="I52" s="44">
        <f t="shared" si="5"/>
        <v>12782.599999999999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200.5</v>
      </c>
      <c r="C54" s="43">
        <v>810.2</v>
      </c>
      <c r="D54" s="44">
        <f>1.9+1.9+0.5+7.4+2.1+1.2+12.9+5.1+0.1+4.5+16.8+19.2+9.7+3.1+1.1+1.4+2.5+5.7+19.9+0.8</f>
        <v>117.8</v>
      </c>
      <c r="E54" s="1">
        <f>D54/D51*100</f>
        <v>2.1499488976492915</v>
      </c>
      <c r="F54" s="1">
        <f t="shared" si="6"/>
        <v>58.753117206982544</v>
      </c>
      <c r="G54" s="1">
        <f t="shared" si="4"/>
        <v>14.539619846951368</v>
      </c>
      <c r="H54" s="44">
        <f t="shared" si="7"/>
        <v>82.7</v>
      </c>
      <c r="I54" s="44">
        <f t="shared" si="5"/>
        <v>692.4000000000001</v>
      </c>
    </row>
    <row r="55" spans="1:9" ht="18">
      <c r="A55" s="23" t="s">
        <v>0</v>
      </c>
      <c r="B55" s="42">
        <v>492</v>
      </c>
      <c r="C55" s="43">
        <v>1048.5</v>
      </c>
      <c r="D55" s="44">
        <f>0.5+0.6+7.5+73.9+2.1+51.2+20.8+16.3+5.9+0.4+16.8+14.9+10.4+71.4+0.3+1.2+1.4+16+1.2</f>
        <v>312.8</v>
      </c>
      <c r="E55" s="1">
        <f>D55/D51*100</f>
        <v>5.7088626076799525</v>
      </c>
      <c r="F55" s="1">
        <f t="shared" si="6"/>
        <v>63.577235772357724</v>
      </c>
      <c r="G55" s="1">
        <f t="shared" si="4"/>
        <v>29.833094897472577</v>
      </c>
      <c r="H55" s="44">
        <f t="shared" si="7"/>
        <v>179.2</v>
      </c>
      <c r="I55" s="44">
        <f t="shared" si="5"/>
        <v>735.7</v>
      </c>
    </row>
    <row r="56" spans="1:9" ht="18">
      <c r="A56" s="23" t="s">
        <v>14</v>
      </c>
      <c r="B56" s="42">
        <v>129.7</v>
      </c>
      <c r="C56" s="43">
        <v>518.9</v>
      </c>
      <c r="D56" s="43">
        <f>34+46+40</f>
        <v>120</v>
      </c>
      <c r="E56" s="1">
        <f>D56/D51*100</f>
        <v>2.190100744634253</v>
      </c>
      <c r="F56" s="1">
        <f>D56/B56*100</f>
        <v>92.52120277563608</v>
      </c>
      <c r="G56" s="1">
        <f>D56/C56*100</f>
        <v>23.125843129697436</v>
      </c>
      <c r="H56" s="44">
        <f t="shared" si="7"/>
        <v>9.699999999999989</v>
      </c>
      <c r="I56" s="44">
        <f t="shared" si="5"/>
        <v>398.9</v>
      </c>
    </row>
    <row r="57" spans="1:9" ht="18.75" thickBot="1">
      <c r="A57" s="23" t="s">
        <v>28</v>
      </c>
      <c r="B57" s="43">
        <f>B51-B52-B55-B54-B53-B56</f>
        <v>1992.4999999999998</v>
      </c>
      <c r="C57" s="43">
        <f>C51-C52-C55-C54-C53-C56</f>
        <v>7278.300000000002</v>
      </c>
      <c r="D57" s="43">
        <f>D51-D52-D55-D54-D53-D56</f>
        <v>1521.400000000001</v>
      </c>
      <c r="E57" s="1">
        <f>D57/D51*100</f>
        <v>27.766827274054624</v>
      </c>
      <c r="F57" s="1">
        <f t="shared" si="6"/>
        <v>76.35633626097874</v>
      </c>
      <c r="G57" s="1">
        <f t="shared" si="4"/>
        <v>20.903232897792076</v>
      </c>
      <c r="H57" s="44">
        <f>B57-D57</f>
        <v>471.0999999999988</v>
      </c>
      <c r="I57" s="44">
        <f>C57-D57</f>
        <v>5756.9000000000015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1143.6</v>
      </c>
      <c r="C59" s="46">
        <f>7844.6+200</f>
        <v>8044.6</v>
      </c>
      <c r="D59" s="47">
        <f>55.6+0.2+146.1+0.4+60.8+0.4+59.3+73.6+0.1+18.6+1.9+67.3+0.4+57.5+0.6+144.6</f>
        <v>687.4000000000001</v>
      </c>
      <c r="E59" s="3">
        <f>D59/D150*100</f>
        <v>0.17868571122579854</v>
      </c>
      <c r="F59" s="3">
        <f>D59/B59*100</f>
        <v>60.10842952081149</v>
      </c>
      <c r="G59" s="3">
        <f t="shared" si="4"/>
        <v>8.544862392163688</v>
      </c>
      <c r="H59" s="47">
        <f>B59-D59</f>
        <v>456.1999999999998</v>
      </c>
      <c r="I59" s="47">
        <f t="shared" si="5"/>
        <v>7357.200000000001</v>
      </c>
    </row>
    <row r="60" spans="1:9" ht="18">
      <c r="A60" s="23" t="s">
        <v>3</v>
      </c>
      <c r="B60" s="42">
        <v>708.5</v>
      </c>
      <c r="C60" s="43">
        <v>2900.3</v>
      </c>
      <c r="D60" s="44">
        <f>55.6+146.1+60.8+59.3+73.6+0.1+67.3+144.6</f>
        <v>607.4</v>
      </c>
      <c r="E60" s="1">
        <f>D60/D59*100</f>
        <v>88.36194355542622</v>
      </c>
      <c r="F60" s="1">
        <f t="shared" si="6"/>
        <v>85.73041637261821</v>
      </c>
      <c r="G60" s="1">
        <f t="shared" si="4"/>
        <v>20.94266110402372</v>
      </c>
      <c r="H60" s="44">
        <f t="shared" si="7"/>
        <v>101.10000000000002</v>
      </c>
      <c r="I60" s="44">
        <f t="shared" si="5"/>
        <v>2292.9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221</v>
      </c>
      <c r="C62" s="43">
        <v>451.8</v>
      </c>
      <c r="D62" s="44">
        <f>0.4+18.6+55.1+0.5</f>
        <v>74.6</v>
      </c>
      <c r="E62" s="1">
        <f>D62/D59*100</f>
        <v>10.852487634565025</v>
      </c>
      <c r="F62" s="1">
        <f t="shared" si="6"/>
        <v>33.75565610859728</v>
      </c>
      <c r="G62" s="1">
        <f t="shared" si="4"/>
        <v>16.511730854360334</v>
      </c>
      <c r="H62" s="44">
        <f t="shared" si="7"/>
        <v>146.4</v>
      </c>
      <c r="I62" s="44">
        <f t="shared" si="5"/>
        <v>377.20000000000005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214.0999999999999</v>
      </c>
      <c r="C64" s="43">
        <f>C59-C60-C62-C63-C61</f>
        <v>648.3000000000001</v>
      </c>
      <c r="D64" s="43">
        <f>D59-D60-D62-D63-D61</f>
        <v>5.400000000000119</v>
      </c>
      <c r="E64" s="1">
        <f>D64/D59*100</f>
        <v>0.7855688100087459</v>
      </c>
      <c r="F64" s="1">
        <f t="shared" si="6"/>
        <v>2.522185894441906</v>
      </c>
      <c r="G64" s="1">
        <f t="shared" si="4"/>
        <v>0.8329477093938175</v>
      </c>
      <c r="H64" s="44">
        <f t="shared" si="7"/>
        <v>208.6999999999998</v>
      </c>
      <c r="I64" s="44">
        <f t="shared" si="5"/>
        <v>642.9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297.8</v>
      </c>
      <c r="C69" s="46">
        <f>C70+C71</f>
        <v>487.70000000000005</v>
      </c>
      <c r="D69" s="47">
        <f>SUM(D70:D71)</f>
        <v>216.69999999999996</v>
      </c>
      <c r="E69" s="35">
        <f>D69/D150*100</f>
        <v>0.056329929622680436</v>
      </c>
      <c r="F69" s="3">
        <f>D69/B69*100</f>
        <v>72.76695768972463</v>
      </c>
      <c r="G69" s="3">
        <f t="shared" si="4"/>
        <v>44.433053106417866</v>
      </c>
      <c r="H69" s="47">
        <f>B69-D69</f>
        <v>81.10000000000005</v>
      </c>
      <c r="I69" s="47">
        <f t="shared" si="5"/>
        <v>271.0000000000001</v>
      </c>
    </row>
    <row r="70" spans="1:9" ht="18">
      <c r="A70" s="23" t="s">
        <v>8</v>
      </c>
      <c r="B70" s="42">
        <f>284.5-85.3+85.3</f>
        <v>284.5</v>
      </c>
      <c r="C70" s="43">
        <f>289</f>
        <v>289</v>
      </c>
      <c r="D70" s="44">
        <f>19.2+1.5+170.6+1.2+17.7</f>
        <v>210.19999999999996</v>
      </c>
      <c r="E70" s="1">
        <f>D70/D69*100</f>
        <v>97.00046146746655</v>
      </c>
      <c r="F70" s="1">
        <f t="shared" si="6"/>
        <v>73.88400702987697</v>
      </c>
      <c r="G70" s="1">
        <f t="shared" si="4"/>
        <v>72.7335640138408</v>
      </c>
      <c r="H70" s="44">
        <f t="shared" si="7"/>
        <v>74.30000000000004</v>
      </c>
      <c r="I70" s="44">
        <f t="shared" si="5"/>
        <v>78.80000000000004</v>
      </c>
    </row>
    <row r="71" spans="1:9" ht="18.75" thickBot="1">
      <c r="A71" s="23" t="s">
        <v>9</v>
      </c>
      <c r="B71" s="42">
        <f>55.8+6.6-6.6-42.5</f>
        <v>13.299999999999997</v>
      </c>
      <c r="C71" s="43">
        <f>267.3-68.6</f>
        <v>198.70000000000002</v>
      </c>
      <c r="D71" s="44">
        <f>6.5</f>
        <v>6.5</v>
      </c>
      <c r="E71" s="1">
        <f>D71/D70*100</f>
        <v>3.0922930542340636</v>
      </c>
      <c r="F71" s="1">
        <f t="shared" si="6"/>
        <v>48.872180451127825</v>
      </c>
      <c r="G71" s="1">
        <f t="shared" si="4"/>
        <v>3.271263210870659</v>
      </c>
      <c r="H71" s="44">
        <f t="shared" si="7"/>
        <v>6.799999999999997</v>
      </c>
      <c r="I71" s="44">
        <f t="shared" si="5"/>
        <v>192.20000000000002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f>2500-100</f>
        <v>2400</v>
      </c>
      <c r="C77" s="62">
        <f>10000-100</f>
        <v>9900</v>
      </c>
      <c r="D77" s="63"/>
      <c r="E77" s="41"/>
      <c r="F77" s="41"/>
      <c r="G77" s="41"/>
      <c r="H77" s="63">
        <f>B77-D77</f>
        <v>2400</v>
      </c>
      <c r="I77" s="63">
        <f t="shared" si="5"/>
        <v>9900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41808.9</v>
      </c>
      <c r="C90" s="46">
        <v>157960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</f>
        <v>21788.8</v>
      </c>
      <c r="E90" s="3">
        <f>D90/D150*100</f>
        <v>5.663874345005351</v>
      </c>
      <c r="F90" s="3">
        <f aca="true" t="shared" si="10" ref="F90:F96">D90/B90*100</f>
        <v>52.11521948675999</v>
      </c>
      <c r="G90" s="3">
        <f t="shared" si="8"/>
        <v>13.793871866295266</v>
      </c>
      <c r="H90" s="47">
        <f aca="true" t="shared" si="11" ref="H90:H96">B90-D90</f>
        <v>20020.100000000002</v>
      </c>
      <c r="I90" s="47">
        <f t="shared" si="9"/>
        <v>136171.2</v>
      </c>
    </row>
    <row r="91" spans="1:9" ht="18">
      <c r="A91" s="23" t="s">
        <v>3</v>
      </c>
      <c r="B91" s="42">
        <f>38207-12.7-2.2-0.9</f>
        <v>38191.200000000004</v>
      </c>
      <c r="C91" s="43">
        <v>148246.2</v>
      </c>
      <c r="D91" s="44">
        <f>1016.5+861.2+216.8+0.1+15.6+1633.8+1584.8+610.3+2+34.8+60.4+677.1+1434.4+388.2+14.5+46.2+0.1+225.9+1690.4+1880.4+5.7+23.4+14.2+309.4+627.8+1876.2+1.4+20.2+321.2+999.1+1596.9+1340.8</f>
        <v>19529.800000000003</v>
      </c>
      <c r="E91" s="1">
        <f>D91/D90*100</f>
        <v>89.63228814803938</v>
      </c>
      <c r="F91" s="1">
        <f t="shared" si="10"/>
        <v>51.13691112088649</v>
      </c>
      <c r="G91" s="1">
        <f t="shared" si="8"/>
        <v>13.173895857027027</v>
      </c>
      <c r="H91" s="44">
        <f t="shared" si="11"/>
        <v>18661.4</v>
      </c>
      <c r="I91" s="44">
        <f t="shared" si="9"/>
        <v>128716.40000000001</v>
      </c>
    </row>
    <row r="92" spans="1:9" ht="18">
      <c r="A92" s="23" t="s">
        <v>26</v>
      </c>
      <c r="B92" s="42">
        <v>1217.3</v>
      </c>
      <c r="C92" s="43">
        <v>2620.6</v>
      </c>
      <c r="D92" s="44">
        <f>48.5+5.1+5+1.3+22.8+67.3+53.4+3.5+1.4+2.8+40.6+112.7+571.4+55.5+1.7</f>
        <v>993</v>
      </c>
      <c r="E92" s="1">
        <f>D92/D90*100</f>
        <v>4.55738728153914</v>
      </c>
      <c r="F92" s="1">
        <f t="shared" si="10"/>
        <v>81.57397519099648</v>
      </c>
      <c r="G92" s="1">
        <f t="shared" si="8"/>
        <v>37.89208578188201</v>
      </c>
      <c r="H92" s="44">
        <f t="shared" si="11"/>
        <v>224.29999999999995</v>
      </c>
      <c r="I92" s="44">
        <f t="shared" si="9"/>
        <v>1627.6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2400.399999999997</v>
      </c>
      <c r="C94" s="43">
        <f>C90-C91-C92-C93</f>
        <v>7093.199999999988</v>
      </c>
      <c r="D94" s="43">
        <f>D90-D91-D92-D93</f>
        <v>1265.9999999999964</v>
      </c>
      <c r="E94" s="1">
        <f>D94/D90*100</f>
        <v>5.810324570421485</v>
      </c>
      <c r="F94" s="1">
        <f t="shared" si="10"/>
        <v>52.74120979836685</v>
      </c>
      <c r="G94" s="1">
        <f>D94/C94*100</f>
        <v>17.848079851125</v>
      </c>
      <c r="H94" s="44">
        <f t="shared" si="11"/>
        <v>1134.4000000000005</v>
      </c>
      <c r="I94" s="44">
        <f>C94-D94</f>
        <v>5827.199999999992</v>
      </c>
    </row>
    <row r="95" spans="1:9" ht="18.75">
      <c r="A95" s="108" t="s">
        <v>12</v>
      </c>
      <c r="B95" s="111">
        <v>18881.9</v>
      </c>
      <c r="C95" s="113">
        <v>59880.5</v>
      </c>
      <c r="D95" s="112">
        <f>158.8+434.4+321.9+32+1220.1+1621.7+82.6+1043.7+489.5+1835.3+427.5+91.3+190+524+63.3+11.3+68.3+293.9+953+327.8+2372.9+1+6.8+217.3+273.2+68.3-0.1+331.5+504+66.1+441.2+942.7</f>
        <v>15415.299999999996</v>
      </c>
      <c r="E95" s="107">
        <f>D95/D150*100</f>
        <v>4.007119354464724</v>
      </c>
      <c r="F95" s="110">
        <f t="shared" si="10"/>
        <v>81.6406187936595</v>
      </c>
      <c r="G95" s="106">
        <f>D95/C95*100</f>
        <v>25.74343901604027</v>
      </c>
      <c r="H95" s="112">
        <f t="shared" si="11"/>
        <v>3466.600000000006</v>
      </c>
      <c r="I95" s="122">
        <f>C95-D95</f>
        <v>44465.200000000004</v>
      </c>
    </row>
    <row r="96" spans="1:9" ht="18.75" thickBot="1">
      <c r="A96" s="109" t="s">
        <v>85</v>
      </c>
      <c r="B96" s="114">
        <v>2826.1</v>
      </c>
      <c r="C96" s="115">
        <f>10660.3-133.5</f>
        <v>10526.8</v>
      </c>
      <c r="D96" s="116">
        <f>69.1+1043.7+68.3+1051.8+1+68.3+66.1</f>
        <v>2368.2999999999997</v>
      </c>
      <c r="E96" s="117">
        <f>D96/D95*100</f>
        <v>15.363307882428497</v>
      </c>
      <c r="F96" s="118">
        <f t="shared" si="10"/>
        <v>83.80099784154842</v>
      </c>
      <c r="G96" s="119">
        <f>D96/C96*100</f>
        <v>22.497815100505374</v>
      </c>
      <c r="H96" s="123">
        <f t="shared" si="11"/>
        <v>457.8000000000002</v>
      </c>
      <c r="I96" s="124">
        <f>C96-D96</f>
        <v>8158.5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3495.3+26.1</f>
        <v>3521.4</v>
      </c>
      <c r="C102" s="92">
        <f>12999.2-348+46.7</f>
        <v>12697.900000000001</v>
      </c>
      <c r="D102" s="79">
        <f>139.4+4+202+15.3+32.9+18.1+0.4+4+39.7+141.6+9.9+31.3+27.6+1.1+399+127.2+7.6+63.2+113+70.6+140+195.7+6.2+179.8+200.1+39.2+404.4+43.9+5.5</f>
        <v>2662.7</v>
      </c>
      <c r="E102" s="19">
        <f>D102/D150*100</f>
        <v>0.692153685308312</v>
      </c>
      <c r="F102" s="19">
        <f>D102/B102*100</f>
        <v>75.61481229056625</v>
      </c>
      <c r="G102" s="19">
        <f aca="true" t="shared" si="12" ref="G102:G148">D102/C102*100</f>
        <v>20.969609147969344</v>
      </c>
      <c r="H102" s="79">
        <f aca="true" t="shared" si="13" ref="H102:H107">B102-D102</f>
        <v>858.7000000000003</v>
      </c>
      <c r="I102" s="79">
        <f aca="true" t="shared" si="14" ref="I102:I148">C102-D102</f>
        <v>10035.2</v>
      </c>
    </row>
    <row r="103" spans="1:9" ht="18">
      <c r="A103" s="23" t="s">
        <v>3</v>
      </c>
      <c r="B103" s="89">
        <v>35.4</v>
      </c>
      <c r="C103" s="87">
        <v>259.1</v>
      </c>
      <c r="D103" s="87">
        <f>17.3</f>
        <v>17.3</v>
      </c>
      <c r="E103" s="83">
        <f>D103/D102*100</f>
        <v>0.649716453224171</v>
      </c>
      <c r="F103" s="1">
        <f>D103/B103*100</f>
        <v>48.87005649717515</v>
      </c>
      <c r="G103" s="83">
        <f>D103/C103*100</f>
        <v>6.676958703203397</v>
      </c>
      <c r="H103" s="87">
        <f t="shared" si="13"/>
        <v>18.099999999999998</v>
      </c>
      <c r="I103" s="87">
        <f t="shared" si="14"/>
        <v>241.8</v>
      </c>
    </row>
    <row r="104" spans="1:9" ht="18">
      <c r="A104" s="85" t="s">
        <v>49</v>
      </c>
      <c r="B104" s="74">
        <f>2967.9+26.1</f>
        <v>2994</v>
      </c>
      <c r="C104" s="44">
        <f>10720.8-348+46.7</f>
        <v>10419.5</v>
      </c>
      <c r="D104" s="44">
        <f>139.3+4+202+15.3-0.1+4+25.4+141.4+9.8+31.2+1.1+390.1+50+2+0.1+51.6+111.9+69.9+132+193.8+143.3+175.1+39.1+393+24.9</f>
        <v>2350.2000000000003</v>
      </c>
      <c r="E104" s="1">
        <f>D104/D102*100</f>
        <v>88.2637923911819</v>
      </c>
      <c r="F104" s="1">
        <f aca="true" t="shared" si="15" ref="F104:F148">D104/B104*100</f>
        <v>78.49699398797596</v>
      </c>
      <c r="G104" s="1">
        <f t="shared" si="12"/>
        <v>22.555784826527187</v>
      </c>
      <c r="H104" s="44">
        <f t="shared" si="13"/>
        <v>643.7999999999997</v>
      </c>
      <c r="I104" s="44">
        <f t="shared" si="14"/>
        <v>8069.299999999999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492</v>
      </c>
      <c r="C106" s="88">
        <f>C102-C103-C104</f>
        <v>2019.300000000001</v>
      </c>
      <c r="D106" s="88">
        <f>D102-D103-D104</f>
        <v>295.19999999999936</v>
      </c>
      <c r="E106" s="84">
        <f>D106/D102*100</f>
        <v>11.086491155593922</v>
      </c>
      <c r="F106" s="84">
        <f t="shared" si="15"/>
        <v>59.99999999999987</v>
      </c>
      <c r="G106" s="84">
        <f t="shared" si="12"/>
        <v>14.618927351062212</v>
      </c>
      <c r="H106" s="124">
        <f>B106-D106</f>
        <v>196.80000000000064</v>
      </c>
      <c r="I106" s="124">
        <f t="shared" si="14"/>
        <v>1724.1000000000017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87819.70000000001</v>
      </c>
      <c r="C107" s="81">
        <f>SUM(C108:C147)-C115-C119+C148-C139-C140-C109-C112-C122-C123-C137-C131-C129</f>
        <v>552976.9999999999</v>
      </c>
      <c r="D107" s="81">
        <f>SUM(D108:D147)-D115-D119+D148-D139-D140-D109-D112-D122-D123-D137-D131-D129</f>
        <v>76396.59999999999</v>
      </c>
      <c r="E107" s="82">
        <f>D107/D150*100</f>
        <v>19.858860643341337</v>
      </c>
      <c r="F107" s="82">
        <f>D107/B107*100</f>
        <v>86.99255406247116</v>
      </c>
      <c r="G107" s="82">
        <f t="shared" si="12"/>
        <v>13.815511314213794</v>
      </c>
      <c r="H107" s="81">
        <f t="shared" si="13"/>
        <v>11423.10000000002</v>
      </c>
      <c r="I107" s="81">
        <f t="shared" si="14"/>
        <v>476580.3999999999</v>
      </c>
    </row>
    <row r="108" spans="1:9" ht="37.5">
      <c r="A108" s="28" t="s">
        <v>53</v>
      </c>
      <c r="B108" s="71">
        <v>1480.4</v>
      </c>
      <c r="C108" s="67">
        <v>4095.6</v>
      </c>
      <c r="D108" s="72">
        <f>12.6+3.2+110.8+149.9+0.1+86+66+19.9+30.9+1.3+4.4+3.9+8.5+1.6</f>
        <v>499.09999999999997</v>
      </c>
      <c r="E108" s="6">
        <f>D108/D107*100</f>
        <v>0.6533013249280728</v>
      </c>
      <c r="F108" s="6">
        <f t="shared" si="15"/>
        <v>33.713861118616585</v>
      </c>
      <c r="G108" s="6">
        <f t="shared" si="12"/>
        <v>12.186248657095419</v>
      </c>
      <c r="H108" s="61">
        <f aca="true" t="shared" si="16" ref="H108:H148">B108-D108</f>
        <v>981.3000000000002</v>
      </c>
      <c r="I108" s="61">
        <f t="shared" si="14"/>
        <v>3596.5</v>
      </c>
    </row>
    <row r="109" spans="1:9" ht="18">
      <c r="A109" s="23" t="s">
        <v>26</v>
      </c>
      <c r="B109" s="74">
        <v>1072.9</v>
      </c>
      <c r="C109" s="44">
        <v>2633.8</v>
      </c>
      <c r="D109" s="75">
        <f>68.3+138.7+47.8+60.9+18.1+30</f>
        <v>363.8</v>
      </c>
      <c r="E109" s="1">
        <f>D109/D108*100</f>
        <v>72.89120416750151</v>
      </c>
      <c r="F109" s="1">
        <f t="shared" si="15"/>
        <v>33.90809954329387</v>
      </c>
      <c r="G109" s="1">
        <f t="shared" si="12"/>
        <v>13.812742045713417</v>
      </c>
      <c r="H109" s="44">
        <f t="shared" si="16"/>
        <v>709.1000000000001</v>
      </c>
      <c r="I109" s="44">
        <f t="shared" si="14"/>
        <v>2270</v>
      </c>
    </row>
    <row r="110" spans="1:9" ht="34.5" customHeight="1">
      <c r="A110" s="16" t="s">
        <v>80</v>
      </c>
      <c r="B110" s="73">
        <v>346.9</v>
      </c>
      <c r="C110" s="61">
        <v>1175.4</v>
      </c>
      <c r="D110" s="72">
        <f>11.8</f>
        <v>11.8</v>
      </c>
      <c r="E110" s="6">
        <f>D110/D107*100</f>
        <v>0.015445713552697374</v>
      </c>
      <c r="F110" s="6">
        <f>D110/B110*100</f>
        <v>3.401556644566158</v>
      </c>
      <c r="G110" s="6">
        <f t="shared" si="12"/>
        <v>1.00391356134082</v>
      </c>
      <c r="H110" s="61">
        <f t="shared" si="16"/>
        <v>335.09999999999997</v>
      </c>
      <c r="I110" s="61">
        <f t="shared" si="14"/>
        <v>1163.6000000000001</v>
      </c>
    </row>
    <row r="111" spans="1:9" s="37" customFormat="1" ht="34.5" customHeight="1">
      <c r="A111" s="16" t="s">
        <v>100</v>
      </c>
      <c r="B111" s="73">
        <f>69.5+246.2-246.2</f>
        <v>69.5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69.5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22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22</v>
      </c>
      <c r="I113" s="61">
        <f t="shared" si="14"/>
        <v>60</v>
      </c>
    </row>
    <row r="114" spans="1:9" ht="37.5">
      <c r="A114" s="16" t="s">
        <v>39</v>
      </c>
      <c r="B114" s="73">
        <v>841.4</v>
      </c>
      <c r="C114" s="61">
        <v>2915.4</v>
      </c>
      <c r="D114" s="72">
        <f>136.4+40+10+2+0.1+10.6+142+54.3+10.6+6.6+21.9+41.3+8.2+239.5+0.2</f>
        <v>723.7</v>
      </c>
      <c r="E114" s="6">
        <f>D114/D107*100</f>
        <v>0.9472934659395839</v>
      </c>
      <c r="F114" s="6">
        <f t="shared" si="15"/>
        <v>86.01140955550274</v>
      </c>
      <c r="G114" s="6">
        <f t="shared" si="12"/>
        <v>24.82335185566303</v>
      </c>
      <c r="H114" s="61">
        <f t="shared" si="16"/>
        <v>117.69999999999993</v>
      </c>
      <c r="I114" s="61">
        <f t="shared" si="14"/>
        <v>2191.7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19</v>
      </c>
      <c r="I117" s="61">
        <f t="shared" si="14"/>
        <v>199</v>
      </c>
    </row>
    <row r="118" spans="1:9" s="2" customFormat="1" ht="18.75">
      <c r="A118" s="16" t="s">
        <v>15</v>
      </c>
      <c r="B118" s="73">
        <v>135.6</v>
      </c>
      <c r="C118" s="53">
        <v>422.8</v>
      </c>
      <c r="D118" s="72">
        <f>39+5+6.2+39.1+4.9+0.4+0.8+39</f>
        <v>134.40000000000003</v>
      </c>
      <c r="E118" s="6">
        <f>D118/D107*100</f>
        <v>0.1759240594476718</v>
      </c>
      <c r="F118" s="6">
        <f t="shared" si="15"/>
        <v>99.11504424778764</v>
      </c>
      <c r="G118" s="6">
        <f t="shared" si="12"/>
        <v>31.78807947019868</v>
      </c>
      <c r="H118" s="61">
        <f t="shared" si="16"/>
        <v>1.1999999999999602</v>
      </c>
      <c r="I118" s="61">
        <f t="shared" si="14"/>
        <v>288.4</v>
      </c>
    </row>
    <row r="119" spans="1:9" s="32" customFormat="1" ht="18">
      <c r="A119" s="33" t="s">
        <v>44</v>
      </c>
      <c r="B119" s="74">
        <v>117.1</v>
      </c>
      <c r="C119" s="44">
        <v>351.4</v>
      </c>
      <c r="D119" s="75">
        <f>39+39.1+39</f>
        <v>117.1</v>
      </c>
      <c r="E119" s="1">
        <f>D119/D118*100</f>
        <v>87.12797619047616</v>
      </c>
      <c r="F119" s="1">
        <f t="shared" si="15"/>
        <v>100</v>
      </c>
      <c r="G119" s="1">
        <f t="shared" si="12"/>
        <v>33.323847467273765</v>
      </c>
      <c r="H119" s="44">
        <f t="shared" si="16"/>
        <v>0</v>
      </c>
      <c r="I119" s="44">
        <f t="shared" si="14"/>
        <v>234.29999999999998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101</v>
      </c>
      <c r="B121" s="73">
        <v>81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81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102</v>
      </c>
      <c r="B124" s="73">
        <f>10132.5+948.2</f>
        <v>11080.7</v>
      </c>
      <c r="C124" s="53">
        <f>33585.8+9933.2</f>
        <v>43519</v>
      </c>
      <c r="D124" s="76">
        <f>3483.8+2635.6+1853.3+812.9+1333.3</f>
        <v>10118.9</v>
      </c>
      <c r="E124" s="17">
        <f>D124/D107*100</f>
        <v>13.245222954948257</v>
      </c>
      <c r="F124" s="6">
        <f t="shared" si="15"/>
        <v>91.32004295757487</v>
      </c>
      <c r="G124" s="6">
        <f t="shared" si="12"/>
        <v>23.251683172867022</v>
      </c>
      <c r="H124" s="61">
        <f t="shared" si="16"/>
        <v>961.8000000000011</v>
      </c>
      <c r="I124" s="61">
        <f t="shared" si="14"/>
        <v>33400.1</v>
      </c>
    </row>
    <row r="125" spans="1:9" s="2" customFormat="1" ht="18.75">
      <c r="A125" s="16" t="s">
        <v>97</v>
      </c>
      <c r="B125" s="73">
        <v>110</v>
      </c>
      <c r="C125" s="53">
        <f>585+110</f>
        <v>695</v>
      </c>
      <c r="D125" s="76">
        <f>10</f>
        <v>10</v>
      </c>
      <c r="E125" s="17">
        <f>D125/D107*100</f>
        <v>0.013089587756523198</v>
      </c>
      <c r="F125" s="6">
        <f t="shared" si="15"/>
        <v>9.090909090909092</v>
      </c>
      <c r="G125" s="6">
        <f t="shared" si="12"/>
        <v>1.4388489208633095</v>
      </c>
      <c r="H125" s="61">
        <f t="shared" si="16"/>
        <v>100</v>
      </c>
      <c r="I125" s="61">
        <f t="shared" si="14"/>
        <v>685</v>
      </c>
    </row>
    <row r="126" spans="1:9" s="2" customFormat="1" ht="37.5" hidden="1">
      <c r="A126" s="16" t="s">
        <v>96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f>405.4</f>
        <v>405.4</v>
      </c>
      <c r="C128" s="53">
        <v>1253.3</v>
      </c>
      <c r="D128" s="76">
        <f>6.5+6.7+0.9+10.2+6.4+2.4+29+2.5+26.7+1.1+7.5+20.9+3.3</f>
        <v>124.09999999999998</v>
      </c>
      <c r="E128" s="17">
        <f>D128/D107*100</f>
        <v>0.16244178405845286</v>
      </c>
      <c r="F128" s="6">
        <f t="shared" si="15"/>
        <v>30.61174148988653</v>
      </c>
      <c r="G128" s="6">
        <f t="shared" si="12"/>
        <v>9.901859091997126</v>
      </c>
      <c r="H128" s="61">
        <f t="shared" si="16"/>
        <v>281.3</v>
      </c>
      <c r="I128" s="61">
        <f t="shared" si="14"/>
        <v>1129.2</v>
      </c>
    </row>
    <row r="129" spans="1:9" s="32" customFormat="1" ht="18">
      <c r="A129" s="23" t="s">
        <v>90</v>
      </c>
      <c r="B129" s="74">
        <v>104.4</v>
      </c>
      <c r="C129" s="44">
        <v>459.6</v>
      </c>
      <c r="D129" s="75">
        <f>6.4+6.4+6.4</f>
        <v>19.200000000000003</v>
      </c>
      <c r="E129" s="1">
        <f>D129/D128*100</f>
        <v>15.471394037066885</v>
      </c>
      <c r="F129" s="1">
        <f>D129/B129*100</f>
        <v>18.390804597701152</v>
      </c>
      <c r="G129" s="1">
        <f t="shared" si="12"/>
        <v>4.177545691906006</v>
      </c>
      <c r="H129" s="44">
        <f t="shared" si="16"/>
        <v>85.2</v>
      </c>
      <c r="I129" s="44">
        <f t="shared" si="14"/>
        <v>440.40000000000003</v>
      </c>
    </row>
    <row r="130" spans="1:9" s="2" customFormat="1" ht="37.5" hidden="1">
      <c r="A130" s="16" t="s">
        <v>98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27.1</v>
      </c>
      <c r="C134" s="53">
        <v>108.1</v>
      </c>
      <c r="D134" s="76">
        <f>3.8+10.3</f>
        <v>14.100000000000001</v>
      </c>
      <c r="E134" s="17">
        <f>D134/D107*100</f>
        <v>0.01845631873669771</v>
      </c>
      <c r="F134" s="6">
        <f t="shared" si="15"/>
        <v>52.02952029520296</v>
      </c>
      <c r="G134" s="6">
        <f t="shared" si="12"/>
        <v>13.043478260869568</v>
      </c>
      <c r="H134" s="61">
        <f t="shared" si="16"/>
        <v>13</v>
      </c>
      <c r="I134" s="61">
        <f t="shared" si="14"/>
        <v>94</v>
      </c>
    </row>
    <row r="135" spans="1:9" s="2" customFormat="1" ht="39" customHeight="1">
      <c r="A135" s="16" t="s">
        <v>56</v>
      </c>
      <c r="B135" s="73">
        <v>68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68</v>
      </c>
      <c r="I135" s="61">
        <f t="shared" si="14"/>
        <v>626.8</v>
      </c>
    </row>
    <row r="136" spans="1:9" s="2" customFormat="1" ht="37.5">
      <c r="A136" s="16" t="s">
        <v>86</v>
      </c>
      <c r="B136" s="73">
        <v>147.8</v>
      </c>
      <c r="C136" s="53">
        <v>381.2</v>
      </c>
      <c r="D136" s="76">
        <f>0.5+1.3+15.9+33.5+3+0.6+15.2+1.3+36.5</f>
        <v>107.8</v>
      </c>
      <c r="E136" s="17">
        <f>D136/D107*100</f>
        <v>0.14110575601532005</v>
      </c>
      <c r="F136" s="6">
        <f t="shared" si="15"/>
        <v>72.93640054127198</v>
      </c>
      <c r="G136" s="6">
        <f>D136/C136*100</f>
        <v>28.279118572927597</v>
      </c>
      <c r="H136" s="61">
        <f t="shared" si="16"/>
        <v>40.000000000000014</v>
      </c>
      <c r="I136" s="61">
        <f t="shared" si="14"/>
        <v>273.4</v>
      </c>
    </row>
    <row r="137" spans="1:9" s="32" customFormat="1" ht="18">
      <c r="A137" s="23" t="s">
        <v>26</v>
      </c>
      <c r="B137" s="74">
        <v>121</v>
      </c>
      <c r="C137" s="44">
        <v>306.1</v>
      </c>
      <c r="D137" s="75">
        <f>15.9+33.5+15.2+36.5</f>
        <v>101.1</v>
      </c>
      <c r="E137" s="1">
        <f>D137/D136*100</f>
        <v>93.7847866419295</v>
      </c>
      <c r="F137" s="1">
        <f t="shared" si="15"/>
        <v>83.55371900826447</v>
      </c>
      <c r="G137" s="1">
        <f>D137/C137*100</f>
        <v>33.02842208428618</v>
      </c>
      <c r="H137" s="44">
        <f t="shared" si="16"/>
        <v>19.900000000000006</v>
      </c>
      <c r="I137" s="44">
        <f t="shared" si="14"/>
        <v>205.00000000000003</v>
      </c>
    </row>
    <row r="138" spans="1:9" s="2" customFormat="1" ht="18.75">
      <c r="A138" s="16" t="s">
        <v>103</v>
      </c>
      <c r="B138" s="73">
        <v>354.9</v>
      </c>
      <c r="C138" s="53">
        <v>1397.4</v>
      </c>
      <c r="D138" s="76">
        <f>26+59.9+0.4-0.1+0.1+27.3+5.8+57.7+6.3+46.3+13.6+50.5+6</f>
        <v>299.80000000000007</v>
      </c>
      <c r="E138" s="17">
        <f>D138/D107*100</f>
        <v>0.39242584094056554</v>
      </c>
      <c r="F138" s="6">
        <f t="shared" si="15"/>
        <v>84.47449985911527</v>
      </c>
      <c r="G138" s="6">
        <f t="shared" si="12"/>
        <v>21.454129096894235</v>
      </c>
      <c r="H138" s="61">
        <f t="shared" si="16"/>
        <v>55.09999999999991</v>
      </c>
      <c r="I138" s="61">
        <f t="shared" si="14"/>
        <v>1097.6</v>
      </c>
    </row>
    <row r="139" spans="1:9" s="32" customFormat="1" ht="18">
      <c r="A139" s="33" t="s">
        <v>44</v>
      </c>
      <c r="B139" s="74">
        <v>259.6</v>
      </c>
      <c r="C139" s="44">
        <v>1063.5</v>
      </c>
      <c r="D139" s="75">
        <f>26+59.9+27.3+57.1-0.1+46.3+42.7</f>
        <v>259.2</v>
      </c>
      <c r="E139" s="1">
        <f>D139/D138*100</f>
        <v>86.45763842561706</v>
      </c>
      <c r="F139" s="1">
        <f aca="true" t="shared" si="17" ref="F139:F147">D139/B139*100</f>
        <v>99.84591679506933</v>
      </c>
      <c r="G139" s="1">
        <f t="shared" si="12"/>
        <v>24.372355430183358</v>
      </c>
      <c r="H139" s="44">
        <f t="shared" si="16"/>
        <v>0.4000000000000341</v>
      </c>
      <c r="I139" s="44">
        <f t="shared" si="14"/>
        <v>804.3</v>
      </c>
    </row>
    <row r="140" spans="1:9" s="32" customFormat="1" ht="18">
      <c r="A140" s="23" t="s">
        <v>26</v>
      </c>
      <c r="B140" s="74">
        <v>21.3</v>
      </c>
      <c r="C140" s="44">
        <v>37.5</v>
      </c>
      <c r="D140" s="75">
        <f>0.4+5.6+0.6+6</f>
        <v>12.6</v>
      </c>
      <c r="E140" s="1">
        <f>D140/D138*100</f>
        <v>4.20280186791194</v>
      </c>
      <c r="F140" s="1">
        <f t="shared" si="17"/>
        <v>59.154929577464785</v>
      </c>
      <c r="G140" s="1">
        <f>D140/C140*100</f>
        <v>33.599999999999994</v>
      </c>
      <c r="H140" s="44">
        <f t="shared" si="16"/>
        <v>8.700000000000001</v>
      </c>
      <c r="I140" s="44">
        <f t="shared" si="14"/>
        <v>24.9</v>
      </c>
    </row>
    <row r="141" spans="1:9" s="2" customFormat="1" ht="56.25">
      <c r="A141" s="18" t="s">
        <v>110</v>
      </c>
      <c r="B141" s="73">
        <v>0</v>
      </c>
      <c r="C141" s="53">
        <f>200+300</f>
        <v>500</v>
      </c>
      <c r="D141" s="76"/>
      <c r="E141" s="17">
        <f>D141/D107*100</f>
        <v>0</v>
      </c>
      <c r="F141" s="128" t="e">
        <f t="shared" si="17"/>
        <v>#DIV/0!</v>
      </c>
      <c r="G141" s="6">
        <f t="shared" si="12"/>
        <v>0</v>
      </c>
      <c r="H141" s="61">
        <f t="shared" si="16"/>
        <v>0</v>
      </c>
      <c r="I141" s="61">
        <f t="shared" si="14"/>
        <v>500</v>
      </c>
    </row>
    <row r="142" spans="1:9" s="2" customFormat="1" ht="18.75" hidden="1">
      <c r="A142" s="18" t="s">
        <v>99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104</v>
      </c>
      <c r="B143" s="73">
        <f>16430.8-1000-281.4</f>
        <v>15149.4</v>
      </c>
      <c r="C143" s="53">
        <f>67967+150-2500</f>
        <v>65617</v>
      </c>
      <c r="D143" s="76">
        <f>2189.1+2579.7+68.9+525.7+232.8+205.1+14+182+44.6+100.3+189.9+11.2+127+188.8+69.4+131.7+84.3+48.1+145.2+164.4+282.5+2057</f>
        <v>9641.699999999999</v>
      </c>
      <c r="E143" s="17">
        <f>D143/D107*100</f>
        <v>12.62058782720697</v>
      </c>
      <c r="F143" s="99">
        <f t="shared" si="17"/>
        <v>63.64410471701849</v>
      </c>
      <c r="G143" s="6">
        <f t="shared" si="12"/>
        <v>14.693905542770928</v>
      </c>
      <c r="H143" s="61">
        <f t="shared" si="16"/>
        <v>5507.700000000001</v>
      </c>
      <c r="I143" s="61">
        <f t="shared" si="14"/>
        <v>55975.3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105</v>
      </c>
      <c r="B145" s="73">
        <v>64.1</v>
      </c>
      <c r="C145" s="53">
        <v>234</v>
      </c>
      <c r="D145" s="76">
        <f>19.2</f>
        <v>19.2</v>
      </c>
      <c r="E145" s="17">
        <f>D145/D107*100</f>
        <v>0.02513200849252454</v>
      </c>
      <c r="F145" s="99">
        <f t="shared" si="17"/>
        <v>29.95319812792512</v>
      </c>
      <c r="G145" s="6">
        <f t="shared" si="12"/>
        <v>8.205128205128204</v>
      </c>
      <c r="H145" s="61">
        <f t="shared" si="16"/>
        <v>44.89999999999999</v>
      </c>
      <c r="I145" s="61">
        <f t="shared" si="14"/>
        <v>214.8</v>
      </c>
    </row>
    <row r="146" spans="1:12" s="2" customFormat="1" ht="18.75" customHeight="1">
      <c r="A146" s="16" t="s">
        <v>79</v>
      </c>
      <c r="B146" s="73">
        <v>2856.3</v>
      </c>
      <c r="C146" s="53">
        <v>10550.8</v>
      </c>
      <c r="D146" s="76">
        <f>1601.8+39.7+92.5+565.2+121.3</f>
        <v>2420.5</v>
      </c>
      <c r="E146" s="17">
        <f>D146/D107*100</f>
        <v>3.16833471646644</v>
      </c>
      <c r="F146" s="99">
        <f t="shared" si="17"/>
        <v>84.74249903721596</v>
      </c>
      <c r="G146" s="6">
        <f t="shared" si="12"/>
        <v>22.941388330742694</v>
      </c>
      <c r="H146" s="61">
        <f t="shared" si="16"/>
        <v>435.8000000000002</v>
      </c>
      <c r="I146" s="61">
        <f t="shared" si="14"/>
        <v>8130.299999999999</v>
      </c>
      <c r="K146" s="38"/>
      <c r="L146" s="38"/>
    </row>
    <row r="147" spans="1:12" s="2" customFormat="1" ht="19.5" customHeight="1">
      <c r="A147" s="16" t="s">
        <v>51</v>
      </c>
      <c r="B147" s="73">
        <f>42349.6+4476.3+281.4</f>
        <v>47107.3</v>
      </c>
      <c r="C147" s="53">
        <f>376354.8-1000+14285.9-198-200-300</f>
        <v>388942.7</v>
      </c>
      <c r="D147" s="76">
        <f>4905.7+9487.9+9000+1500+6413+155.4+2591.5+899.7+3383.3+1969.5+5413.3</f>
        <v>45719.3</v>
      </c>
      <c r="E147" s="17">
        <f>D147/D107*100</f>
        <v>59.844678951681104</v>
      </c>
      <c r="F147" s="6">
        <f t="shared" si="17"/>
        <v>97.05353522702426</v>
      </c>
      <c r="G147" s="6">
        <f t="shared" si="12"/>
        <v>11.754764904959009</v>
      </c>
      <c r="H147" s="61">
        <f t="shared" si="16"/>
        <v>1388</v>
      </c>
      <c r="I147" s="61">
        <f t="shared" si="14"/>
        <v>343223.4</v>
      </c>
      <c r="K147" s="91"/>
      <c r="L147" s="38"/>
    </row>
    <row r="148" spans="1:12" s="2" customFormat="1" ht="18.75">
      <c r="A148" s="16" t="s">
        <v>106</v>
      </c>
      <c r="B148" s="73">
        <v>7371.3</v>
      </c>
      <c r="C148" s="53">
        <v>29485.2</v>
      </c>
      <c r="D148" s="76">
        <f>819+819+819.1+819+819+819.1+819+819</f>
        <v>6552.2</v>
      </c>
      <c r="E148" s="17">
        <f>D148/D107*100</f>
        <v>8.576559689829129</v>
      </c>
      <c r="F148" s="6">
        <f t="shared" si="15"/>
        <v>88.88798448034946</v>
      </c>
      <c r="G148" s="6">
        <f t="shared" si="12"/>
        <v>22.221996120087365</v>
      </c>
      <c r="H148" s="61">
        <f t="shared" si="16"/>
        <v>819.1000000000004</v>
      </c>
      <c r="I148" s="61">
        <f t="shared" si="14"/>
        <v>22933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94608.00000000001</v>
      </c>
      <c r="C149" s="77">
        <f>C43+C69+C72+C77+C79+C87+C102+C107+C100+C84+C98</f>
        <v>577639.6999999998</v>
      </c>
      <c r="D149" s="53">
        <f>D43+D69+D72+D77+D79+D87+D102+D107+D100+D84+D98</f>
        <v>79782.7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454509.50000000006</v>
      </c>
      <c r="C150" s="47">
        <f>C6+C18+C33+C43+C51+C59+C69+C72+C77+C79+C87+C90+C95+C102+C107+C100+C84+C98+C45</f>
        <v>1878362.4</v>
      </c>
      <c r="D150" s="47">
        <f>D6+D18+D33+D43+D51+D59+D69+D72+D77+D79+D87+D90+D95+D102+D107+D100+D84+D98+D45</f>
        <v>384697.80000000005</v>
      </c>
      <c r="E150" s="31">
        <v>100</v>
      </c>
      <c r="F150" s="3">
        <f>D150/B150*100</f>
        <v>84.64021104069332</v>
      </c>
      <c r="G150" s="3">
        <f aca="true" t="shared" si="18" ref="G150:G156">D150/C150*100</f>
        <v>20.480488749135954</v>
      </c>
      <c r="H150" s="47">
        <f aca="true" t="shared" si="19" ref="H150:H156">B150-D150</f>
        <v>69811.70000000001</v>
      </c>
      <c r="I150" s="47">
        <f aca="true" t="shared" si="20" ref="I150:I156">C150-D150</f>
        <v>1493664.5999999999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172106.30000000002</v>
      </c>
      <c r="C151" s="60">
        <f>C8+C20+C34+C52+C60+C91+C115+C119+C46+C139+C131+C103</f>
        <v>722894.7</v>
      </c>
      <c r="D151" s="60">
        <f>D8+D20+D34+D52+D60+D91+D115+D119+D46+D139+D131+D103</f>
        <v>148308.8</v>
      </c>
      <c r="E151" s="6">
        <f>D151/D150*100</f>
        <v>38.55202707163908</v>
      </c>
      <c r="F151" s="6">
        <f aca="true" t="shared" si="21" ref="F151:F156">D151/B151*100</f>
        <v>86.17278972356036</v>
      </c>
      <c r="G151" s="6">
        <f t="shared" si="18"/>
        <v>20.515961729972567</v>
      </c>
      <c r="H151" s="61">
        <f t="shared" si="19"/>
        <v>23797.50000000003</v>
      </c>
      <c r="I151" s="72">
        <f t="shared" si="20"/>
        <v>574585.8999999999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49247.100000000006</v>
      </c>
      <c r="C152" s="61">
        <f>C11+C23+C36+C55+C62+C92+C49+C140+C109+C112+C96+C137</f>
        <v>102336.00000000003</v>
      </c>
      <c r="D152" s="61">
        <f>D11+D23+D36+D55+D62+D92+D49+D140+D109+D112+D96+D137</f>
        <v>36273.8</v>
      </c>
      <c r="E152" s="6">
        <f>D152/D150*100</f>
        <v>9.429167517984247</v>
      </c>
      <c r="F152" s="6">
        <f t="shared" si="21"/>
        <v>73.65672293393925</v>
      </c>
      <c r="G152" s="6">
        <f t="shared" si="18"/>
        <v>35.44578642901813</v>
      </c>
      <c r="H152" s="61">
        <f t="shared" si="19"/>
        <v>12973.300000000003</v>
      </c>
      <c r="I152" s="72">
        <f t="shared" si="20"/>
        <v>66062.20000000003</v>
      </c>
      <c r="K152" s="39"/>
      <c r="L152" s="90"/>
    </row>
    <row r="153" spans="1:12" ht="18.75">
      <c r="A153" s="18" t="s">
        <v>1</v>
      </c>
      <c r="B153" s="60">
        <f>B22+B10+B54+B48+B61+B35+B123</f>
        <v>8660.699999999999</v>
      </c>
      <c r="C153" s="60">
        <f>C22+C10+C54+C48+C61+C35+C123</f>
        <v>28682.2</v>
      </c>
      <c r="D153" s="60">
        <f>D22+D10+D54+D48+D61+D35+D123</f>
        <v>7510.1</v>
      </c>
      <c r="E153" s="6">
        <f>D153/D150*100</f>
        <v>1.9522076809381284</v>
      </c>
      <c r="F153" s="6">
        <f t="shared" si="21"/>
        <v>86.7146997355872</v>
      </c>
      <c r="G153" s="6">
        <f t="shared" si="18"/>
        <v>26.18383527065567</v>
      </c>
      <c r="H153" s="61">
        <f t="shared" si="19"/>
        <v>1150.5999999999985</v>
      </c>
      <c r="I153" s="72">
        <f t="shared" si="20"/>
        <v>21172.1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6888.799999999999</v>
      </c>
      <c r="C154" s="60">
        <f>C12+C24+C104+C63+C38+C93+C129+C56</f>
        <v>29231.3</v>
      </c>
      <c r="D154" s="60">
        <f>D12+D24+D104+D63+D38+D93+D129+D56</f>
        <v>5844.1</v>
      </c>
      <c r="E154" s="6">
        <f>D154/D150*100</f>
        <v>1.5191404785782503</v>
      </c>
      <c r="F154" s="6">
        <f t="shared" si="21"/>
        <v>84.83480432005575</v>
      </c>
      <c r="G154" s="6">
        <f t="shared" si="18"/>
        <v>19.99261066049064</v>
      </c>
      <c r="H154" s="61">
        <f t="shared" si="19"/>
        <v>1044.699999999999</v>
      </c>
      <c r="I154" s="72">
        <f t="shared" si="20"/>
        <v>23387.199999999997</v>
      </c>
      <c r="K154" s="39"/>
      <c r="L154" s="90"/>
    </row>
    <row r="155" spans="1:12" ht="18.75">
      <c r="A155" s="18" t="s">
        <v>2</v>
      </c>
      <c r="B155" s="60">
        <f>B9+B21+B47+B53+B122</f>
        <v>24.7</v>
      </c>
      <c r="C155" s="60">
        <f>C9+C21+C47+C53+C122</f>
        <v>186.9</v>
      </c>
      <c r="D155" s="60">
        <f>D9+D21+D47+D53+D122</f>
        <v>17.1</v>
      </c>
      <c r="E155" s="6">
        <f>D155/D150*100</f>
        <v>0.004445047515218439</v>
      </c>
      <c r="F155" s="6">
        <f t="shared" si="21"/>
        <v>69.23076923076924</v>
      </c>
      <c r="G155" s="6">
        <f t="shared" si="18"/>
        <v>9.149277688603531</v>
      </c>
      <c r="H155" s="61">
        <f t="shared" si="19"/>
        <v>7.599999999999998</v>
      </c>
      <c r="I155" s="72">
        <f t="shared" si="20"/>
        <v>169.8</v>
      </c>
      <c r="K155" s="39"/>
      <c r="L155" s="40"/>
    </row>
    <row r="156" spans="1:12" ht="19.5" thickBot="1">
      <c r="A156" s="126" t="s">
        <v>28</v>
      </c>
      <c r="B156" s="78">
        <f>B150-B151-B152-B153-B154-B155</f>
        <v>217581.90000000005</v>
      </c>
      <c r="C156" s="78">
        <f>C150-C151-C152-C153-C154-C155</f>
        <v>995031.2999999999</v>
      </c>
      <c r="D156" s="78">
        <f>D150-D151-D152-D153-D154-D155</f>
        <v>186743.90000000005</v>
      </c>
      <c r="E156" s="36">
        <f>D156/D150*100</f>
        <v>48.54301220334508</v>
      </c>
      <c r="F156" s="36">
        <f t="shared" si="21"/>
        <v>85.82694608329093</v>
      </c>
      <c r="G156" s="36">
        <f t="shared" si="18"/>
        <v>18.767640776727333</v>
      </c>
      <c r="H156" s="127">
        <f t="shared" si="19"/>
        <v>30838</v>
      </c>
      <c r="I156" s="127">
        <f t="shared" si="20"/>
        <v>808287.3999999999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1878362.4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384697.80000000005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1878362.4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384697.80000000005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2017-03-31T05:01:35Z</cp:lastPrinted>
  <dcterms:created xsi:type="dcterms:W3CDTF">2000-06-20T04:48:00Z</dcterms:created>
  <dcterms:modified xsi:type="dcterms:W3CDTF">2017-03-31T05:01:54Z</dcterms:modified>
  <cp:category/>
  <cp:version/>
  <cp:contentType/>
  <cp:contentStatus/>
</cp:coreProperties>
</file>